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<sst xmlns="http://schemas.openxmlformats.org/spreadsheetml/2006/main" count="163" uniqueCount="112">
  <si>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</si>
  <si>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</si>
  <si>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</si>
  <si>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</si>
  <si>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</si>
  <si>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</si>
  <si>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</si>
  <si>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</si>
  <si>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</si>
  <si>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</si>
  <si>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</si>
  <si>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</si>
  <si>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</si>
  <si>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</si>
  <si>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</si>
  <si>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</si>
  <si>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</si>
  <si>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</si>
  <si>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</si>
  <si>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</si>
  <si>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</si>
  <si>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</si>
  <si>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</si>
  <si>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</si>
  <si>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</si>
  <si>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</si>
  <si>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</si>
  <si>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</si>
  <si>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</si>
  <si>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</si>
  <si>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</si>
  <si>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</si>
  <si>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</si>
  <si>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</si>
  <si>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</si>
  <si>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</si>
  <si>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</si>
  <si>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</si>
  <si>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</si>
  <si>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</si>
  <si>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</si>
  <si>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</si>
  <si>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</si>
  <si>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</si>
  <si>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</si>
  <si>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</si>
  <si>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</si>
  <si>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</si>
  <si>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</si>
  <si>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</si>
  <si>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</si>
  <si>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</si>
  <si>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</si>
  <si>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</si>
  <si>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</si>
  <si>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</si>
  <si>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</si>
  <si>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</si>
  <si>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</si>
  <si>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</si>
  <si>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</si>
  <si>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</si>
  <si>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</si>
  <si>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</si>
  <si>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</si>
  <si>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</si>
  <si>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</si>
  <si>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</si>
  <si>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</si>
  <si>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</si>
  <si>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</si>
  <si>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</si>
  <si>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</si>
  <si>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</si>
  <si>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</si>
  <si>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</si>
  <si>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</si>
  <si>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</si>
  <si>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</si>
  <si>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</si>
  <si>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</si>
  <si>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</si>
  <si>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</si>
  <si>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</si>
  <si>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</si>
  <si>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</si>
  <si>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</si>
  <si>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</si>
  <si>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</si>
  <si>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</si>
  <si>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</si>
  <si>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</si>
  <si>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</si>
  <si>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</si>
  <si>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</si>
  <si>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</si>
  <si>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</si>
  <si>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</si>
  <si>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</si>
  <si>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</si>
  <si>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</si>
  <si>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</si>
  <si>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</si>
  <si>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</si>
  <si>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</si>
  <si>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</si>
  <si>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</si>
  <si>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План на 1 півріччя, тис.грн.</t>
  </si>
  <si>
    <t>Відсоток виконання плану 1-го півріччя</t>
  </si>
  <si>
    <t>Відхилення від плану 1 півріччя, тис.грн.</t>
  </si>
  <si>
    <t>Програма забезпечення виконання рішень суду</t>
  </si>
  <si>
    <t>Аналіз використання коштів загального фонду міського бюджету станом на 15.06.2017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</si>
</sst>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30458035"/>
        <c:axId val="5686860"/>
      </c:bar3DChart>
      <c:cat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51181741"/>
        <c:axId val="57982486"/>
      </c:bar3D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52080327"/>
        <c:axId val="66069760"/>
      </c:bar3D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69760"/>
        <c:crosses val="autoZero"/>
        <c:auto val="1"/>
        <c:lblOffset val="100"/>
        <c:tickLblSkip val="1"/>
        <c:noMultiLvlLbl val="0"/>
      </c:catAx>
      <c:valAx>
        <c:axId val="6606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57756929"/>
        <c:axId val="50050314"/>
      </c:bar3D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47799643"/>
        <c:axId val="27543604"/>
      </c:bar3D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43604"/>
        <c:crosses val="autoZero"/>
        <c:auto val="1"/>
        <c:lblOffset val="100"/>
        <c:tickLblSkip val="2"/>
        <c:noMultiLvlLbl val="0"/>
      </c:catAx>
      <c:valAx>
        <c:axId val="27543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46565845"/>
        <c:axId val="16439422"/>
      </c:bar3D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6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13737071"/>
        <c:axId val="56524776"/>
      </c:bar3D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524776"/>
        <c:crosses val="autoZero"/>
        <c:auto val="1"/>
        <c:lblOffset val="100"/>
        <c:tickLblSkip val="1"/>
        <c:noMultiLvlLbl val="0"/>
      </c:catAx>
      <c:valAx>
        <c:axId val="56524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37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38960937"/>
        <c:axId val="15104114"/>
      </c:bar3DChart>
      <c:cat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09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1719299"/>
        <c:axId val="15473692"/>
      </c:bar3DChart>
      <c:catAx>
        <c:axId val="171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73692"/>
        <c:crosses val="autoZero"/>
        <c:auto val="1"/>
        <c:lblOffset val="100"/>
        <c:tickLblSkip val="1"/>
        <c:noMultiLvlLbl val="0"/>
      </c:catAx>
      <c:valAx>
        <c:axId val="15473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6" sqref="C56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379456.7+2</f>
        <v>379458.7</v>
      </c>
      <c r="C6" s="46">
        <f>625865.1-190.4-316.9+47.1+50+198+5366.4+2952</f>
        <v>633971.2999999999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</f>
        <v>314906.2</v>
      </c>
      <c r="E6" s="3">
        <f>D6/D151*100</f>
        <v>42.16800613399172</v>
      </c>
      <c r="F6" s="3">
        <f>D6/B6*100</f>
        <v>82.9882672343525</v>
      </c>
      <c r="G6" s="3">
        <f aca="true" t="shared" si="0" ref="G6:G43">D6/C6*100</f>
        <v>49.671996192887605</v>
      </c>
      <c r="H6" s="47">
        <f>B6-D6</f>
        <v>64552.5</v>
      </c>
      <c r="I6" s="47">
        <f aca="true" t="shared" si="1" ref="I6:I43">C6-D6</f>
        <v>319065.0999999999</v>
      </c>
    </row>
    <row r="7" spans="1:9" s="37" customFormat="1" ht="18.75">
      <c r="A7" s="104" t="s">
        <v>83</v>
      </c>
      <c r="B7" s="97">
        <v>149875.2</v>
      </c>
      <c r="C7" s="94">
        <f>243287.4+47.1</f>
        <v>243334.5</v>
      </c>
      <c r="D7" s="105">
        <f>6699.4+11261.7+10.2+8073.8+9792.3+0.1+0.8+7352+6.6+10108.4-0.1+7942.1+9848.6-0.1+7861.7+17351.9+0.1+8976.7+21107.4+3648.1</f>
        <v>130041.70000000001</v>
      </c>
      <c r="E7" s="95">
        <f>D7/D6*100</f>
        <v>41.29537621043981</v>
      </c>
      <c r="F7" s="95">
        <f>D7/B7*100</f>
        <v>86.76665652489538</v>
      </c>
      <c r="G7" s="95">
        <f>D7/C7*100</f>
        <v>53.44153829399448</v>
      </c>
      <c r="H7" s="105">
        <f>B7-D7</f>
        <v>19833.5</v>
      </c>
      <c r="I7" s="105">
        <f t="shared" si="1"/>
        <v>113292.79999999999</v>
      </c>
    </row>
    <row r="8" spans="1:9" ht="18">
      <c r="A8" s="23" t="s">
        <v>3</v>
      </c>
      <c r="B8" s="42">
        <v>295727.1</v>
      </c>
      <c r="C8" s="43">
        <f>487771.7+47.1+4992.2</f>
        <v>492811</v>
      </c>
      <c r="D8" s="44">
        <f>12945+14658+9353.4+10.2+0.1+7+16015+13071.9+6973.3+1906+3.4+7.6+13882.5+6.6+747.5+21101.8+2656.1+15.6+10047+6403+9848.6+12369.9+15042.4+0.7+17351.9+16553.3+0.1+9378.9+22855.5+11721.1+270</f>
        <v>245203.4</v>
      </c>
      <c r="E8" s="1">
        <f>D8/D6*100</f>
        <v>77.8655358325749</v>
      </c>
      <c r="F8" s="1">
        <f>D8/B8*100</f>
        <v>82.91543115257276</v>
      </c>
      <c r="G8" s="1">
        <f t="shared" si="0"/>
        <v>49.756072814933106</v>
      </c>
      <c r="H8" s="44">
        <f>B8-D8</f>
        <v>50523.69999999998</v>
      </c>
      <c r="I8" s="44">
        <f t="shared" si="1"/>
        <v>247607.6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2.5+4.3+3.3+7+0.4+1.3+1.6+1.3+1.5-0.1</f>
        <v>23.1</v>
      </c>
      <c r="E9" s="12">
        <f>D9/D6*100</f>
        <v>0.007335517687489163</v>
      </c>
      <c r="F9" s="119">
        <f>D9/B9*100</f>
        <v>47.72727272727273</v>
      </c>
      <c r="G9" s="1">
        <f t="shared" si="0"/>
        <v>24.972972972972972</v>
      </c>
      <c r="H9" s="44">
        <f aca="true" t="shared" si="2" ref="H9:H43">B9-D9</f>
        <v>25.299999999999997</v>
      </c>
      <c r="I9" s="44">
        <f t="shared" si="1"/>
        <v>69.4</v>
      </c>
    </row>
    <row r="10" spans="1:9" ht="18">
      <c r="A10" s="23" t="s">
        <v>1</v>
      </c>
      <c r="B10" s="42">
        <v>17841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</f>
        <v>17196.8</v>
      </c>
      <c r="E10" s="1">
        <f>D10/D6*100</f>
        <v>5.460927730225698</v>
      </c>
      <c r="F10" s="1">
        <f aca="true" t="shared" si="3" ref="F10:F41">D10/B10*100</f>
        <v>96.38921585112942</v>
      </c>
      <c r="G10" s="1">
        <f t="shared" si="0"/>
        <v>62.62148826538972</v>
      </c>
      <c r="H10" s="44">
        <f t="shared" si="2"/>
        <v>644.2000000000007</v>
      </c>
      <c r="I10" s="44">
        <f t="shared" si="1"/>
        <v>10264.7</v>
      </c>
    </row>
    <row r="11" spans="1:9" ht="18">
      <c r="A11" s="23" t="s">
        <v>0</v>
      </c>
      <c r="B11" s="42">
        <v>50329.1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+125.1+1.7</f>
        <v>43822.9</v>
      </c>
      <c r="E11" s="1">
        <f>D11/D6*100</f>
        <v>13.916175673899083</v>
      </c>
      <c r="F11" s="1">
        <f t="shared" si="3"/>
        <v>87.07268757041156</v>
      </c>
      <c r="G11" s="1">
        <f t="shared" si="0"/>
        <v>54.16888647165345</v>
      </c>
      <c r="H11" s="44">
        <f t="shared" si="2"/>
        <v>6506.199999999997</v>
      </c>
      <c r="I11" s="44">
        <f t="shared" si="1"/>
        <v>37077.6</v>
      </c>
    </row>
    <row r="12" spans="1:9" ht="18">
      <c r="A12" s="23" t="s">
        <v>14</v>
      </c>
      <c r="B12" s="42">
        <v>7081.3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</f>
        <v>5359.399999999999</v>
      </c>
      <c r="E12" s="1">
        <f>D12/D6*100</f>
        <v>1.7019036144731345</v>
      </c>
      <c r="F12" s="1">
        <f t="shared" si="3"/>
        <v>75.68384336209452</v>
      </c>
      <c r="G12" s="1">
        <f t="shared" si="0"/>
        <v>38.20338451449181</v>
      </c>
      <c r="H12" s="44">
        <f t="shared" si="2"/>
        <v>1721.9000000000015</v>
      </c>
      <c r="I12" s="44">
        <f t="shared" si="1"/>
        <v>8669.2</v>
      </c>
    </row>
    <row r="13" spans="1:9" ht="18.75" thickBot="1">
      <c r="A13" s="23" t="s">
        <v>28</v>
      </c>
      <c r="B13" s="43">
        <f>B6-B8-B9-B10-B11-B12</f>
        <v>8431.800000000043</v>
      </c>
      <c r="C13" s="43">
        <f>C6-C8-C9-C10-C11-C12</f>
        <v>18677.19999999993</v>
      </c>
      <c r="D13" s="43">
        <f>D6-D8-D9-D10-D11-D12</f>
        <v>3300.6000000000085</v>
      </c>
      <c r="E13" s="1">
        <f>D13/D6*100</f>
        <v>1.048121631139688</v>
      </c>
      <c r="F13" s="1">
        <f t="shared" si="3"/>
        <v>39.14466661922712</v>
      </c>
      <c r="G13" s="1">
        <f t="shared" si="0"/>
        <v>17.67181376223428</v>
      </c>
      <c r="H13" s="44">
        <f t="shared" si="2"/>
        <v>5131.200000000034</v>
      </c>
      <c r="I13" s="44">
        <f t="shared" si="1"/>
        <v>15376.599999999922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202107.3</v>
      </c>
      <c r="C18" s="46">
        <f>329127.1+600+14307.6+200+1333.8+15842.2+1513.4</f>
        <v>362924.1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</f>
        <v>166850.70000000004</v>
      </c>
      <c r="E18" s="3">
        <f>D18/D151*100</f>
        <v>22.342403360304793</v>
      </c>
      <c r="F18" s="3">
        <f>D18/B18*100</f>
        <v>82.55550393281194</v>
      </c>
      <c r="G18" s="3">
        <f t="shared" si="0"/>
        <v>45.973992909261206</v>
      </c>
      <c r="H18" s="47">
        <f>B18-D18</f>
        <v>35256.59999999995</v>
      </c>
      <c r="I18" s="47">
        <f t="shared" si="1"/>
        <v>196073.39999999994</v>
      </c>
    </row>
    <row r="19" spans="1:13" s="37" customFormat="1" ht="18.75">
      <c r="A19" s="104" t="s">
        <v>84</v>
      </c>
      <c r="B19" s="97">
        <v>120367.1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</f>
        <v>102983.70000000003</v>
      </c>
      <c r="E19" s="95">
        <f>D19/D18*100</f>
        <v>61.72206649417713</v>
      </c>
      <c r="F19" s="95">
        <f t="shared" si="3"/>
        <v>85.5580137761897</v>
      </c>
      <c r="G19" s="95">
        <f t="shared" si="0"/>
        <v>42.998469763742385</v>
      </c>
      <c r="H19" s="105">
        <f t="shared" si="2"/>
        <v>17383.39999999998</v>
      </c>
      <c r="I19" s="105">
        <f t="shared" si="1"/>
        <v>136521.8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202107.3</v>
      </c>
      <c r="C25" s="43">
        <f>C18</f>
        <v>362924.1</v>
      </c>
      <c r="D25" s="43">
        <f>D18</f>
        <v>166850.70000000004</v>
      </c>
      <c r="E25" s="1">
        <f>D25/D18*100</f>
        <v>100</v>
      </c>
      <c r="F25" s="1">
        <f t="shared" si="3"/>
        <v>82.55550393281194</v>
      </c>
      <c r="G25" s="1">
        <f t="shared" si="0"/>
        <v>45.973992909261206</v>
      </c>
      <c r="H25" s="44">
        <f t="shared" si="2"/>
        <v>35256.59999999995</v>
      </c>
      <c r="I25" s="44">
        <f t="shared" si="1"/>
        <v>196073.39999999994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35784.5+152</f>
        <v>35936.5</v>
      </c>
      <c r="C33" s="46">
        <f>67303.3-3099.2+301.7</f>
        <v>64505.8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</f>
        <v>30828.9</v>
      </c>
      <c r="E33" s="3">
        <f>D33/D151*100</f>
        <v>4.128191964160177</v>
      </c>
      <c r="F33" s="3">
        <f>D33/B33*100</f>
        <v>85.78715233815201</v>
      </c>
      <c r="G33" s="3">
        <f t="shared" si="0"/>
        <v>47.792446570695965</v>
      </c>
      <c r="H33" s="47">
        <f t="shared" si="2"/>
        <v>5107.5999999999985</v>
      </c>
      <c r="I33" s="47">
        <f t="shared" si="1"/>
        <v>33676.9</v>
      </c>
    </row>
    <row r="34" spans="1:9" ht="18">
      <c r="A34" s="23" t="s">
        <v>3</v>
      </c>
      <c r="B34" s="42">
        <f>29582.2+152</f>
        <v>29734.2</v>
      </c>
      <c r="C34" s="43">
        <f>55535.9-3105.8+301.7</f>
        <v>52731.799999999996</v>
      </c>
      <c r="D34" s="44">
        <f>1743.2+1833.7+1830.2+1935.3+81+1854.2+129.9+1804.7+34.4+1.5+1881.6+1967.7+0.1+1784.4+235.6+2357.6-0.1+6335.8</f>
        <v>25810.8</v>
      </c>
      <c r="E34" s="1">
        <f>D34/D33*100</f>
        <v>83.72274067514572</v>
      </c>
      <c r="F34" s="1">
        <f t="shared" si="3"/>
        <v>86.80509312508828</v>
      </c>
      <c r="G34" s="1">
        <f t="shared" si="0"/>
        <v>48.94731452368401</v>
      </c>
      <c r="H34" s="44">
        <f t="shared" si="2"/>
        <v>3923.4000000000015</v>
      </c>
      <c r="I34" s="44">
        <f t="shared" si="1"/>
        <v>26920.999999999996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1595.5</v>
      </c>
      <c r="C36" s="43">
        <v>2945.3</v>
      </c>
      <c r="D36" s="44">
        <f>5.4+1.2+41.8+16.1+2.9+29.7+160.9+0.8+93.4+46.9+11.2+0.1+15.2+184.7+9.2+183.2+0.9+11.9+0.1+174+0.1+59.2+12.8+2+8.2+325.6+7.6-0.1+53.7+13.4+10.7+7.4+0.6+1.6+1.5</f>
        <v>1493.9</v>
      </c>
      <c r="E36" s="1">
        <f>D36/D33*100</f>
        <v>4.845777825352186</v>
      </c>
      <c r="F36" s="1">
        <f t="shared" si="3"/>
        <v>93.63209025383892</v>
      </c>
      <c r="G36" s="1">
        <f t="shared" si="0"/>
        <v>50.721488473160626</v>
      </c>
      <c r="H36" s="44">
        <f t="shared" si="2"/>
        <v>101.59999999999991</v>
      </c>
      <c r="I36" s="44">
        <f t="shared" si="1"/>
        <v>1451.4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</f>
        <v>172.90000000000003</v>
      </c>
      <c r="E37" s="17">
        <f>D37/D33*100</f>
        <v>0.5608373960796527</v>
      </c>
      <c r="F37" s="17">
        <f t="shared" si="3"/>
        <v>33.82237871674492</v>
      </c>
      <c r="G37" s="17">
        <f t="shared" si="0"/>
        <v>20.196238757154543</v>
      </c>
      <c r="H37" s="53">
        <f t="shared" si="2"/>
        <v>338.29999999999995</v>
      </c>
      <c r="I37" s="53">
        <f t="shared" si="1"/>
        <v>683.2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0.0827145957202495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4070.0999999999995</v>
      </c>
      <c r="C39" s="42">
        <f>C33-C34-C36-C37-C35-C38</f>
        <v>7891.8000000000075</v>
      </c>
      <c r="D39" s="42">
        <f>D33-D34-D36-D37-D35-D38</f>
        <v>3325.800000000002</v>
      </c>
      <c r="E39" s="1">
        <f>D39/D33*100</f>
        <v>10.787929507702195</v>
      </c>
      <c r="F39" s="1">
        <f t="shared" si="3"/>
        <v>81.71298002506087</v>
      </c>
      <c r="G39" s="1">
        <f t="shared" si="0"/>
        <v>42.142477001444526</v>
      </c>
      <c r="H39" s="44">
        <f>B39-D39</f>
        <v>744.2999999999975</v>
      </c>
      <c r="I39" s="44">
        <f t="shared" si="1"/>
        <v>4566.0000000000055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1170.2+153.3</f>
        <v>1323.5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</f>
        <v>971.6999999999999</v>
      </c>
      <c r="E43" s="3">
        <f>D43/D151*100</f>
        <v>0.1301170048744666</v>
      </c>
      <c r="F43" s="3">
        <f>D43/B43*100</f>
        <v>73.41896486588591</v>
      </c>
      <c r="G43" s="3">
        <f t="shared" si="0"/>
        <v>43.50181313515691</v>
      </c>
      <c r="H43" s="47">
        <f t="shared" si="2"/>
        <v>351.80000000000007</v>
      </c>
      <c r="I43" s="47">
        <f t="shared" si="1"/>
        <v>1262.0000000000005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5947</v>
      </c>
      <c r="C45" s="46">
        <v>11788</v>
      </c>
      <c r="D45" s="47">
        <f>102.9+155.5+3.1+3.7+452.3+6+17.2+314.1+59.3+95.2+2.2+579+1.9+71.6+375.2+7+7.3+568.3+0.1+96.1+326.4+4.1+518.1-0.1+350+35.2+5.1+556.7+19.5+326.2+24.6</f>
        <v>5083.8</v>
      </c>
      <c r="E45" s="3">
        <f>D45/D151*100</f>
        <v>0.680754172461473</v>
      </c>
      <c r="F45" s="3">
        <f>D45/B45*100</f>
        <v>85.48511854716664</v>
      </c>
      <c r="G45" s="3">
        <f aca="true" t="shared" si="4" ref="G45:G76">D45/C45*100</f>
        <v>43.12690872073295</v>
      </c>
      <c r="H45" s="47">
        <f>B45-D45</f>
        <v>863.1999999999998</v>
      </c>
      <c r="I45" s="47">
        <f aca="true" t="shared" si="5" ref="I45:I77">C45-D45</f>
        <v>6704.2</v>
      </c>
    </row>
    <row r="46" spans="1:9" ht="18">
      <c r="A46" s="23" t="s">
        <v>3</v>
      </c>
      <c r="B46" s="42">
        <v>5198.1</v>
      </c>
      <c r="C46" s="43">
        <v>10529.7</v>
      </c>
      <c r="D46" s="44">
        <f>102.7+154.9+447.3+314.1+572.1+284.8+559+325.4+510.8+301.6+29.6+556.7+0.1+311.9</f>
        <v>4471</v>
      </c>
      <c r="E46" s="1">
        <f>D46/D45*100</f>
        <v>87.94602462724733</v>
      </c>
      <c r="F46" s="1">
        <f aca="true" t="shared" si="6" ref="F46:F74">D46/B46*100</f>
        <v>86.0121967642023</v>
      </c>
      <c r="G46" s="1">
        <f t="shared" si="4"/>
        <v>42.46084883709887</v>
      </c>
      <c r="H46" s="44">
        <f aca="true" t="shared" si="7" ref="H46:H74">B46-D46</f>
        <v>727.1000000000004</v>
      </c>
      <c r="I46" s="44">
        <f t="shared" si="5"/>
        <v>6058.700000000001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0.007868130138872498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40.4</v>
      </c>
      <c r="C48" s="43">
        <f>73.4+0.9</f>
        <v>74.30000000000001</v>
      </c>
      <c r="D48" s="44">
        <f>5.4+5.6+7.3+6+2.1+4.3</f>
        <v>30.700000000000003</v>
      </c>
      <c r="E48" s="1">
        <f>D48/D45*100</f>
        <v>0.6038789881584641</v>
      </c>
      <c r="F48" s="1">
        <f t="shared" si="6"/>
        <v>75.990099009901</v>
      </c>
      <c r="G48" s="1">
        <f t="shared" si="4"/>
        <v>41.318977119784655</v>
      </c>
      <c r="H48" s="44">
        <f t="shared" si="7"/>
        <v>9.699999999999996</v>
      </c>
      <c r="I48" s="44">
        <f t="shared" si="5"/>
        <v>43.60000000000001</v>
      </c>
    </row>
    <row r="49" spans="1:9" ht="18">
      <c r="A49" s="23" t="s">
        <v>0</v>
      </c>
      <c r="B49" s="42">
        <v>553.6</v>
      </c>
      <c r="C49" s="43">
        <v>865.1</v>
      </c>
      <c r="D49" s="44">
        <f>3.1+3.5+1+0.7+59.3+95.2+2.2+6-0.1+53.5+89.7+6.2+7.2+73.9+0.4+4+3.2+30.6+0.2+2.7+3.1</f>
        <v>445.59999999999997</v>
      </c>
      <c r="E49" s="1">
        <f>D49/D45*100</f>
        <v>8.76509697470396</v>
      </c>
      <c r="F49" s="1">
        <f t="shared" si="6"/>
        <v>80.49132947976878</v>
      </c>
      <c r="G49" s="1">
        <f t="shared" si="4"/>
        <v>51.5084961276153</v>
      </c>
      <c r="H49" s="44">
        <f t="shared" si="7"/>
        <v>108.00000000000006</v>
      </c>
      <c r="I49" s="44">
        <f t="shared" si="5"/>
        <v>419.50000000000006</v>
      </c>
    </row>
    <row r="50" spans="1:9" ht="18.75" thickBot="1">
      <c r="A50" s="23" t="s">
        <v>28</v>
      </c>
      <c r="B50" s="43">
        <f>B45-B46-B49-B48-B47</f>
        <v>154.0999999999996</v>
      </c>
      <c r="C50" s="43">
        <f>C45-C46-C49-C48-C47</f>
        <v>317.49999999999926</v>
      </c>
      <c r="D50" s="43">
        <f>D45-D46-D49-D48-D47</f>
        <v>136.10000000000022</v>
      </c>
      <c r="E50" s="1">
        <f>D50/D45*100</f>
        <v>2.6771312797513716</v>
      </c>
      <c r="F50" s="1">
        <f t="shared" si="6"/>
        <v>88.31927319922166</v>
      </c>
      <c r="G50" s="1">
        <f t="shared" si="4"/>
        <v>42.86614173228364</v>
      </c>
      <c r="H50" s="44">
        <f t="shared" si="7"/>
        <v>17.999999999999375</v>
      </c>
      <c r="I50" s="44">
        <f t="shared" si="5"/>
        <v>181.39999999999904</v>
      </c>
    </row>
    <row r="51" spans="1:9" ht="18.75" thickBot="1">
      <c r="A51" s="22" t="s">
        <v>4</v>
      </c>
      <c r="B51" s="45">
        <f>13980.8-1143.1+27.7</f>
        <v>12865.4</v>
      </c>
      <c r="C51" s="46">
        <f>23558.7+50+2250-940.4-1250+76.8</f>
        <v>23745.1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</f>
        <v>10277.499999999998</v>
      </c>
      <c r="E51" s="3">
        <f>D51/D151*100</f>
        <v>1.376224675926037</v>
      </c>
      <c r="F51" s="3">
        <f>D51/B51*100</f>
        <v>79.88480731263698</v>
      </c>
      <c r="G51" s="3">
        <f t="shared" si="4"/>
        <v>43.28261409722426</v>
      </c>
      <c r="H51" s="47">
        <f>B51-D51</f>
        <v>2587.9000000000015</v>
      </c>
      <c r="I51" s="47">
        <f t="shared" si="5"/>
        <v>13467.6</v>
      </c>
    </row>
    <row r="52" spans="1:9" ht="18">
      <c r="A52" s="23" t="s">
        <v>3</v>
      </c>
      <c r="B52" s="42">
        <v>8083.3</v>
      </c>
      <c r="C52" s="43">
        <f>16189.8-940.4</f>
        <v>15249.4</v>
      </c>
      <c r="D52" s="44">
        <f>392.4+738.8+389.6+752.9+403.1+730.4+397.8+724.9+1.1+0.1+403+795.7+527.1</f>
        <v>6256.900000000001</v>
      </c>
      <c r="E52" s="1">
        <f>D52/D51*100</f>
        <v>60.87959134030652</v>
      </c>
      <c r="F52" s="1">
        <f t="shared" si="6"/>
        <v>77.40526765058824</v>
      </c>
      <c r="G52" s="1">
        <f t="shared" si="4"/>
        <v>41.03046677246318</v>
      </c>
      <c r="H52" s="44">
        <f t="shared" si="7"/>
        <v>1826.3999999999996</v>
      </c>
      <c r="I52" s="44">
        <f t="shared" si="5"/>
        <v>8992.5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420.6</v>
      </c>
      <c r="C54" s="43">
        <v>810.2</v>
      </c>
      <c r="D54" s="44">
        <f>1.9+1.9+0.5+7.4+2.1+1.2+12.9+5.1+0.1+4.5+16.8+19.2+9.7+3.1+1.1+1.4+2.5+5.7+19.9+0.8+28.2+4+19.8+8.2+38.7+4.3+0.2+18.2+4.3+27.9+3.9+3+21+4+9.4+2.4</f>
        <v>315.2999999999999</v>
      </c>
      <c r="E54" s="1">
        <f>D54/D51*100</f>
        <v>3.0678666990999752</v>
      </c>
      <c r="F54" s="1">
        <f t="shared" si="6"/>
        <v>74.96433666191152</v>
      </c>
      <c r="G54" s="1">
        <f t="shared" si="4"/>
        <v>38.916316958775596</v>
      </c>
      <c r="H54" s="44">
        <f t="shared" si="7"/>
        <v>105.30000000000013</v>
      </c>
      <c r="I54" s="44">
        <f t="shared" si="5"/>
        <v>494.90000000000015</v>
      </c>
    </row>
    <row r="55" spans="1:9" ht="18">
      <c r="A55" s="23" t="s">
        <v>0</v>
      </c>
      <c r="B55" s="42">
        <f>636.7+2.7</f>
        <v>639.4000000000001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</f>
        <v>489.8000000000001</v>
      </c>
      <c r="E55" s="1">
        <f>D55/D51*100</f>
        <v>4.765750425687183</v>
      </c>
      <c r="F55" s="1">
        <f t="shared" si="6"/>
        <v>76.60306537378794</v>
      </c>
      <c r="G55" s="1">
        <f t="shared" si="4"/>
        <v>46.09014773689659</v>
      </c>
      <c r="H55" s="44">
        <f t="shared" si="7"/>
        <v>149.59999999999997</v>
      </c>
      <c r="I55" s="44">
        <f t="shared" si="5"/>
        <v>572.8999999999999</v>
      </c>
    </row>
    <row r="56" spans="1:9" ht="18">
      <c r="A56" s="23" t="s">
        <v>14</v>
      </c>
      <c r="B56" s="42">
        <v>243.3</v>
      </c>
      <c r="C56" s="43">
        <v>518.9</v>
      </c>
      <c r="D56" s="43">
        <f>34+46+40+40+40+40</f>
        <v>240</v>
      </c>
      <c r="E56" s="1">
        <f>D56/D51*100</f>
        <v>2.335198248601314</v>
      </c>
      <c r="F56" s="1">
        <f>D56/B56*100</f>
        <v>98.64364981504316</v>
      </c>
      <c r="G56" s="1">
        <f>D56/C56*100</f>
        <v>46.25168625939487</v>
      </c>
      <c r="H56" s="44">
        <f t="shared" si="7"/>
        <v>3.3000000000000114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3478.799999999999</v>
      </c>
      <c r="C57" s="43">
        <f>C51-C52-C55-C54-C53-C56</f>
        <v>6090.9</v>
      </c>
      <c r="D57" s="43">
        <f>D51-D52-D55-D54-D53-D56</f>
        <v>2975.4999999999977</v>
      </c>
      <c r="E57" s="1">
        <f>D57/D51*100</f>
        <v>28.951593286305016</v>
      </c>
      <c r="F57" s="1">
        <f t="shared" si="6"/>
        <v>85.53236748304009</v>
      </c>
      <c r="G57" s="1">
        <f t="shared" si="4"/>
        <v>48.85156545009765</v>
      </c>
      <c r="H57" s="44">
        <f>B57-D57</f>
        <v>503.3000000000011</v>
      </c>
      <c r="I57" s="44">
        <f>C57-D57</f>
        <v>3115.400000000002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3399.6-179.7</f>
        <v>3219.9</v>
      </c>
      <c r="C59" s="46">
        <f>7844.6+200-378.5</f>
        <v>7666.1</v>
      </c>
      <c r="D59" s="47">
        <f>55.6+0.2+146.1+0.4+60.8+0.4+59.3+73.6+0.1+18.6+1.9+67.3+0.4+57.5+0.6+144.6-4.5+32.9+1.2+79.7+73.5+4+0.1+78.7+72.2+0.1+9.9+53+0.1+12.7+6.3+29.9+85.7+69.4+15.3+39.7+11.2+39.1</f>
        <v>1397.6000000000004</v>
      </c>
      <c r="E59" s="3">
        <f>D59/D151*100</f>
        <v>0.18714780900746583</v>
      </c>
      <c r="F59" s="3">
        <f>D59/B59*100</f>
        <v>43.405074691760625</v>
      </c>
      <c r="G59" s="3">
        <f t="shared" si="4"/>
        <v>18.230912719635803</v>
      </c>
      <c r="H59" s="47">
        <f>B59-D59</f>
        <v>1822.2999999999997</v>
      </c>
      <c r="I59" s="47">
        <f t="shared" si="5"/>
        <v>6268.5</v>
      </c>
    </row>
    <row r="60" spans="1:9" ht="18">
      <c r="A60" s="23" t="s">
        <v>3</v>
      </c>
      <c r="B60" s="42">
        <f>1451.1-179.5</f>
        <v>1271.6</v>
      </c>
      <c r="C60" s="43">
        <f>2900.3-339.6</f>
        <v>2560.7000000000003</v>
      </c>
      <c r="D60" s="44">
        <f>55.6+146.1+60.8+59.3+73.6+0.1+67.3+144.6-4.5+79.7+66.8+72.2-0.1+53+75.7+69.4+0.1+39.1</f>
        <v>1058.8</v>
      </c>
      <c r="E60" s="1">
        <f>D60/D59*100</f>
        <v>75.75844304522036</v>
      </c>
      <c r="F60" s="1">
        <f t="shared" si="6"/>
        <v>83.26517772884556</v>
      </c>
      <c r="G60" s="1">
        <f t="shared" si="4"/>
        <v>41.34806888741359</v>
      </c>
      <c r="H60" s="44">
        <f t="shared" si="7"/>
        <v>212.79999999999995</v>
      </c>
      <c r="I60" s="44">
        <f t="shared" si="5"/>
        <v>1501.9000000000003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v>3.2</v>
      </c>
      <c r="E61" s="1">
        <f>D61/D59*100</f>
        <v>0.22896393817973662</v>
      </c>
      <c r="F61" s="1">
        <f>D61/B61*100</f>
        <v>0.9310445155659005</v>
      </c>
      <c r="G61" s="1">
        <f t="shared" si="4"/>
        <v>0.9310445155659004</v>
      </c>
      <c r="H61" s="44">
        <f t="shared" si="7"/>
        <v>340.5</v>
      </c>
      <c r="I61" s="44">
        <f t="shared" si="5"/>
        <v>340.50000000000006</v>
      </c>
    </row>
    <row r="62" spans="1:9" ht="18">
      <c r="A62" s="23" t="s">
        <v>0</v>
      </c>
      <c r="B62" s="42">
        <f>215.8+0.9</f>
        <v>216.70000000000002</v>
      </c>
      <c r="C62" s="43">
        <f>451.8-38.9</f>
        <v>412.90000000000003</v>
      </c>
      <c r="D62" s="44">
        <f>0.4+18.6+55.1+0.5+32.9+0.7+67.5+3.7+0.4+6.3+12.6+0.1+4.2</f>
        <v>202.99999999999997</v>
      </c>
      <c r="E62" s="1">
        <f>D62/D59*100</f>
        <v>14.524899828277041</v>
      </c>
      <c r="F62" s="1">
        <f t="shared" si="6"/>
        <v>93.67789570835254</v>
      </c>
      <c r="G62" s="1">
        <f t="shared" si="4"/>
        <v>49.16444659723903</v>
      </c>
      <c r="H62" s="44">
        <f t="shared" si="7"/>
        <v>13.700000000000045</v>
      </c>
      <c r="I62" s="44">
        <f t="shared" si="5"/>
        <v>209.90000000000006</v>
      </c>
    </row>
    <row r="63" spans="1:9" ht="18">
      <c r="A63" s="23" t="s">
        <v>14</v>
      </c>
      <c r="B63" s="42">
        <v>1124.5</v>
      </c>
      <c r="C63" s="43">
        <v>3707.1</v>
      </c>
      <c r="D63" s="44"/>
      <c r="E63" s="1">
        <f>D63/D59*100</f>
        <v>0</v>
      </c>
      <c r="F63" s="1">
        <f t="shared" si="6"/>
        <v>0</v>
      </c>
      <c r="G63" s="1">
        <f t="shared" si="4"/>
        <v>0</v>
      </c>
      <c r="H63" s="44">
        <f t="shared" si="7"/>
        <v>1124.5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263.40000000000015</v>
      </c>
      <c r="C64" s="43">
        <f>C59-C60-C62-C63-C61</f>
        <v>641.7</v>
      </c>
      <c r="D64" s="43">
        <f>D59-D60-D62-D63-D61</f>
        <v>132.60000000000045</v>
      </c>
      <c r="E64" s="1">
        <f>D64/D59*100</f>
        <v>9.487693188322869</v>
      </c>
      <c r="F64" s="1">
        <f t="shared" si="6"/>
        <v>50.34168564920287</v>
      </c>
      <c r="G64" s="1">
        <f t="shared" si="4"/>
        <v>20.663861617578377</v>
      </c>
      <c r="H64" s="44">
        <f t="shared" si="7"/>
        <v>130.7999999999997</v>
      </c>
      <c r="I64" s="44">
        <f t="shared" si="5"/>
        <v>509.09999999999957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333.2</v>
      </c>
      <c r="C69" s="46">
        <f>C70+C71</f>
        <v>443.5</v>
      </c>
      <c r="D69" s="47">
        <f>SUM(D70:D71)</f>
        <v>242.49999999999997</v>
      </c>
      <c r="E69" s="35">
        <f>D69/D151*100</f>
        <v>0.03247234093038813</v>
      </c>
      <c r="F69" s="3">
        <f>D69/B69*100</f>
        <v>72.77911164465786</v>
      </c>
      <c r="G69" s="3">
        <f t="shared" si="4"/>
        <v>54.67869222096955</v>
      </c>
      <c r="H69" s="47">
        <f>B69-D69</f>
        <v>90.70000000000002</v>
      </c>
      <c r="I69" s="47">
        <f t="shared" si="5"/>
        <v>201.00000000000003</v>
      </c>
    </row>
    <row r="70" spans="1:9" ht="18">
      <c r="A70" s="23" t="s">
        <v>8</v>
      </c>
      <c r="B70" s="42">
        <f>289-2</f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61.2-15</f>
        <v>46.2</v>
      </c>
      <c r="C71" s="43">
        <f>267.3-68.6-27.9+0.7-15</f>
        <v>156.5</v>
      </c>
      <c r="D71" s="44">
        <f>6.5</f>
        <v>6.5</v>
      </c>
      <c r="E71" s="1">
        <f>D71/D70*100</f>
        <v>2.7542372881355934</v>
      </c>
      <c r="F71" s="1">
        <f t="shared" si="6"/>
        <v>14.069264069264067</v>
      </c>
      <c r="G71" s="1">
        <f t="shared" si="4"/>
        <v>4.15335463258786</v>
      </c>
      <c r="H71" s="44">
        <f t="shared" si="7"/>
        <v>39.7</v>
      </c>
      <c r="I71" s="44">
        <f t="shared" si="5"/>
        <v>150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2562.9-150</f>
        <v>2412.9</v>
      </c>
      <c r="C77" s="62">
        <f>10000-100-5823.7-1513.4-150</f>
        <v>2412.9</v>
      </c>
      <c r="D77" s="63"/>
      <c r="E77" s="41"/>
      <c r="F77" s="41"/>
      <c r="G77" s="41"/>
      <c r="H77" s="63">
        <f>B77-D77</f>
        <v>2412.9</v>
      </c>
      <c r="I77" s="63">
        <f t="shared" si="5"/>
        <v>2412.9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81452.5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</f>
        <v>43156.40000000001</v>
      </c>
      <c r="E90" s="3">
        <f>D90/D151*100</f>
        <v>5.778925089188465</v>
      </c>
      <c r="F90" s="3">
        <f aca="true" t="shared" si="10" ref="F90:F96">D90/B90*100</f>
        <v>52.98351800128911</v>
      </c>
      <c r="G90" s="3">
        <f t="shared" si="8"/>
        <v>27.27528404117421</v>
      </c>
      <c r="H90" s="47">
        <f aca="true" t="shared" si="11" ref="H90:H96">B90-D90</f>
        <v>38296.09999999999</v>
      </c>
      <c r="I90" s="47">
        <f t="shared" si="9"/>
        <v>115068.89999999998</v>
      </c>
    </row>
    <row r="91" spans="1:9" ht="18">
      <c r="A91" s="23" t="s">
        <v>3</v>
      </c>
      <c r="B91" s="42">
        <f>74944.9-64.5</f>
        <v>74880.4</v>
      </c>
      <c r="C91" s="43">
        <f>148246.2-137.7-228.3-64.5</f>
        <v>147815.7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</f>
        <v>39489.90000000001</v>
      </c>
      <c r="E91" s="1">
        <f>D91/D90*100</f>
        <v>91.5041569732415</v>
      </c>
      <c r="F91" s="1">
        <f t="shared" si="10"/>
        <v>52.73729841186747</v>
      </c>
      <c r="G91" s="1">
        <f t="shared" si="8"/>
        <v>26.715633048451554</v>
      </c>
      <c r="H91" s="44">
        <f t="shared" si="11"/>
        <v>35390.499999999985</v>
      </c>
      <c r="I91" s="44">
        <f t="shared" si="9"/>
        <v>108325.8</v>
      </c>
    </row>
    <row r="92" spans="1:9" ht="18">
      <c r="A92" s="23" t="s">
        <v>26</v>
      </c>
      <c r="B92" s="42">
        <v>1667.3</v>
      </c>
      <c r="C92" s="43">
        <v>2620.6</v>
      </c>
      <c r="D92" s="44">
        <f>48.5+5.1+5+1.3+22.8+67.3+62.7+3.5+1.4+40.6+112.7+571.4+55.5+1.7+2.4+3.1+83.6+0.9+1.4+3.5+0.9+23.5+44.4+1</f>
        <v>1164.2000000000003</v>
      </c>
      <c r="E92" s="1">
        <f>D92/D90*100</f>
        <v>2.697630015478585</v>
      </c>
      <c r="F92" s="1">
        <f t="shared" si="10"/>
        <v>69.82546632279735</v>
      </c>
      <c r="G92" s="1">
        <f t="shared" si="8"/>
        <v>44.42494085323973</v>
      </c>
      <c r="H92" s="44">
        <f t="shared" si="11"/>
        <v>503.0999999999997</v>
      </c>
      <c r="I92" s="44">
        <f t="shared" si="9"/>
        <v>1456.3999999999996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4904.800000000006</v>
      </c>
      <c r="C94" s="43">
        <f>C90-C91-C92-C93</f>
        <v>7788.999999999976</v>
      </c>
      <c r="D94" s="43">
        <f>D90-D91-D92-D93</f>
        <v>2502.2999999999997</v>
      </c>
      <c r="E94" s="1">
        <f>D94/D90*100</f>
        <v>5.798213011279901</v>
      </c>
      <c r="F94" s="1">
        <f t="shared" si="10"/>
        <v>51.01737073886798</v>
      </c>
      <c r="G94" s="1">
        <f>D94/C94*100</f>
        <v>32.126075234304885</v>
      </c>
      <c r="H94" s="44">
        <f t="shared" si="11"/>
        <v>2402.500000000006</v>
      </c>
      <c r="I94" s="44">
        <f>C94-D94</f>
        <v>5286.699999999977</v>
      </c>
    </row>
    <row r="95" spans="1:9" ht="18.75">
      <c r="A95" s="108" t="s">
        <v>12</v>
      </c>
      <c r="B95" s="128">
        <f>33869.5-1700.7</f>
        <v>32168.8</v>
      </c>
      <c r="C95" s="112">
        <f>59880.5+5316.8</f>
        <v>65197.3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</f>
        <v>27226.7</v>
      </c>
      <c r="E95" s="107">
        <f>D95/D151*100</f>
        <v>3.6458337517913346</v>
      </c>
      <c r="F95" s="110">
        <f t="shared" si="10"/>
        <v>84.636977443983</v>
      </c>
      <c r="G95" s="106">
        <f>D95/C95*100</f>
        <v>41.76047167597431</v>
      </c>
      <c r="H95" s="111">
        <f t="shared" si="11"/>
        <v>4942.0999999999985</v>
      </c>
      <c r="I95" s="121">
        <f>C95-D95</f>
        <v>37970.600000000006</v>
      </c>
    </row>
    <row r="96" spans="1:9" ht="18.75" thickBot="1">
      <c r="A96" s="109" t="s">
        <v>85</v>
      </c>
      <c r="B96" s="113">
        <v>5207.9</v>
      </c>
      <c r="C96" s="114">
        <f>10660.3-133.5</f>
        <v>10526.8</v>
      </c>
      <c r="D96" s="115">
        <f>69.1+1043.7+68.3+1051.8+1+68.3+66.1+938.4+3+68.7+11.3+4.3+734+67.7+6.3+0.4</f>
        <v>4202.4</v>
      </c>
      <c r="E96" s="116">
        <f>D96/D95*100</f>
        <v>15.434848879959745</v>
      </c>
      <c r="F96" s="117">
        <f t="shared" si="10"/>
        <v>80.69279364043088</v>
      </c>
      <c r="G96" s="118">
        <f>D96/C96*100</f>
        <v>39.920963635672756</v>
      </c>
      <c r="H96" s="122">
        <f t="shared" si="11"/>
        <v>1005.5</v>
      </c>
      <c r="I96" s="123">
        <f>C96-D96</f>
        <v>6324.4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7383.4+7.5+1</f>
        <v>7391.9</v>
      </c>
      <c r="C102" s="92">
        <f>12999.2-348+46.7-53.7+124.7-124.6+10.7</f>
        <v>12655.000000000002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</f>
        <v>3893.399999999999</v>
      </c>
      <c r="E102" s="19">
        <f>D102/D151*100</f>
        <v>0.5213518027974149</v>
      </c>
      <c r="F102" s="19">
        <f>D102/B102*100</f>
        <v>52.67116708829934</v>
      </c>
      <c r="G102" s="19">
        <f aca="true" t="shared" si="12" ref="G102:G149">D102/C102*100</f>
        <v>30.765705254839975</v>
      </c>
      <c r="H102" s="79">
        <f aca="true" t="shared" si="13" ref="H102:H107">B102-D102</f>
        <v>3498.5000000000005</v>
      </c>
      <c r="I102" s="79">
        <f aca="true" t="shared" si="14" ref="I102:I149">C102-D102</f>
        <v>8761.600000000002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</f>
        <v>79.29999999999998</v>
      </c>
      <c r="E103" s="83">
        <f>D103/D102*100</f>
        <v>2.036780192119998</v>
      </c>
      <c r="F103" s="1">
        <f>D103/B103*100</f>
        <v>54.5017182130584</v>
      </c>
      <c r="G103" s="83">
        <f>D103/C103*100</f>
        <v>30.605943651099953</v>
      </c>
      <c r="H103" s="87">
        <f t="shared" si="13"/>
        <v>66.20000000000002</v>
      </c>
      <c r="I103" s="87">
        <f t="shared" si="14"/>
        <v>179.80000000000004</v>
      </c>
    </row>
    <row r="104" spans="1:9" ht="18">
      <c r="A104" s="85" t="s">
        <v>49</v>
      </c>
      <c r="B104" s="74">
        <f>6171-10.6+1</f>
        <v>6161.4</v>
      </c>
      <c r="C104" s="44">
        <f>10720.8-348+46.7-56.3+125.1-124.6-51.5</f>
        <v>10312.2</v>
      </c>
      <c r="D104" s="44">
        <f>139.3+4+202+15.3-0.1+4+25.4+141.4+9.8+31.2+1.1+390.1+50+2+0.1+51.6+111.9+69.9+132+193.8+143.3+175.1+39.1+393+24.9+117+131.2+30.6+5+5+134.6+137.3+5+34.9+31.2+66.7+136.1</f>
        <v>3184.7999999999997</v>
      </c>
      <c r="E104" s="1">
        <f>D104/D102*100</f>
        <v>81.79996917860997</v>
      </c>
      <c r="F104" s="1">
        <f aca="true" t="shared" si="15" ref="F104:F149">D104/B104*100</f>
        <v>51.689551076054144</v>
      </c>
      <c r="G104" s="1">
        <f t="shared" si="12"/>
        <v>30.883807528946296</v>
      </c>
      <c r="H104" s="44">
        <f t="shared" si="13"/>
        <v>2976.6</v>
      </c>
      <c r="I104" s="44">
        <f t="shared" si="14"/>
        <v>7127.4000000000015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1085</v>
      </c>
      <c r="C106" s="88">
        <f>C102-C103-C104</f>
        <v>2083.7000000000007</v>
      </c>
      <c r="D106" s="88">
        <f>D102-D103-D104</f>
        <v>629.2999999999993</v>
      </c>
      <c r="E106" s="84">
        <f>D106/D102*100</f>
        <v>16.16325062927003</v>
      </c>
      <c r="F106" s="84">
        <f t="shared" si="15"/>
        <v>57.99999999999993</v>
      </c>
      <c r="G106" s="84">
        <f t="shared" si="12"/>
        <v>30.201084609108754</v>
      </c>
      <c r="H106" s="123">
        <f>B106-D106</f>
        <v>455.7000000000007</v>
      </c>
      <c r="I106" s="123">
        <f t="shared" si="14"/>
        <v>1454.4000000000015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163133.9</v>
      </c>
      <c r="C107" s="81">
        <f>SUM(C108:C148)-C115-C119+C149-C140-C141-C109-C112-C122-C123-C138-C131-C129-C136</f>
        <v>533928.7999999999</v>
      </c>
      <c r="D107" s="81">
        <f>SUM(D108:D148)-D115-D119+D149-D140-D141-D109-D112-D122-D123-D138-D131-D129-D136</f>
        <v>141954.00000000003</v>
      </c>
      <c r="E107" s="82">
        <f>D107/D151*100</f>
        <v>19.00857189456626</v>
      </c>
      <c r="F107" s="82">
        <f>D107/B107*100</f>
        <v>87.01686160877662</v>
      </c>
      <c r="G107" s="82">
        <f t="shared" si="12"/>
        <v>26.58669095954368</v>
      </c>
      <c r="H107" s="81">
        <f t="shared" si="13"/>
        <v>21179.899999999965</v>
      </c>
      <c r="I107" s="81">
        <f t="shared" si="14"/>
        <v>391974.79999999993</v>
      </c>
    </row>
    <row r="108" spans="1:9" ht="37.5">
      <c r="A108" s="28" t="s">
        <v>53</v>
      </c>
      <c r="B108" s="71">
        <v>2239.3</v>
      </c>
      <c r="C108" s="67">
        <v>4095.6</v>
      </c>
      <c r="D108" s="72">
        <f>12.6+3.2+110.8+149.9+0.1+86+66+19.9+30.9+1.3+4.4+3.9+8.5+1.6+0.1+167.2+12.2+0.7+2+1.4+0.1+115.6+14.7+10.7+8.1+0.6+3.1+4.1+2.8-0.2+122.3+40.3</f>
        <v>1004.9000000000001</v>
      </c>
      <c r="E108" s="6">
        <f>D108/D107*100</f>
        <v>0.7079053777984416</v>
      </c>
      <c r="F108" s="6">
        <f t="shared" si="15"/>
        <v>44.87563077747511</v>
      </c>
      <c r="G108" s="6">
        <f t="shared" si="12"/>
        <v>24.53608750854576</v>
      </c>
      <c r="H108" s="61">
        <f aca="true" t="shared" si="16" ref="H108:H149">B108-D108</f>
        <v>1234.4</v>
      </c>
      <c r="I108" s="61">
        <f t="shared" si="14"/>
        <v>3090.7</v>
      </c>
    </row>
    <row r="109" spans="1:9" ht="18">
      <c r="A109" s="23" t="s">
        <v>26</v>
      </c>
      <c r="B109" s="74">
        <v>1461.8</v>
      </c>
      <c r="C109" s="44">
        <v>2633.8</v>
      </c>
      <c r="D109" s="75">
        <f>68.3+138.7+47.8+60.9+18.1+30+81.4+40.6+14.7+2.7+31.2</f>
        <v>534.4000000000001</v>
      </c>
      <c r="E109" s="1">
        <f>D109/D108*100</f>
        <v>53.17942083789432</v>
      </c>
      <c r="F109" s="1">
        <f t="shared" si="15"/>
        <v>36.55766862771926</v>
      </c>
      <c r="G109" s="1">
        <f t="shared" si="12"/>
        <v>20.290075176550992</v>
      </c>
      <c r="H109" s="44">
        <f t="shared" si="16"/>
        <v>927.3999999999999</v>
      </c>
      <c r="I109" s="44">
        <f t="shared" si="14"/>
        <v>2099.4</v>
      </c>
    </row>
    <row r="110" spans="1:9" ht="34.5" customHeight="1">
      <c r="A110" s="16" t="s">
        <v>80</v>
      </c>
      <c r="B110" s="73">
        <v>666.6</v>
      </c>
      <c r="C110" s="61">
        <v>1175.4</v>
      </c>
      <c r="D110" s="72">
        <f>11.8+87.5+28+44.4</f>
        <v>171.7</v>
      </c>
      <c r="E110" s="6">
        <f>D110/D107*100</f>
        <v>0.12095467545824701</v>
      </c>
      <c r="F110" s="6">
        <f>D110/B110*100</f>
        <v>25.757575757575758</v>
      </c>
      <c r="G110" s="6">
        <f t="shared" si="12"/>
        <v>14.607793091713459</v>
      </c>
      <c r="H110" s="61">
        <f t="shared" si="16"/>
        <v>494.90000000000003</v>
      </c>
      <c r="I110" s="61">
        <f t="shared" si="14"/>
        <v>1003.7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53.6</v>
      </c>
      <c r="C113" s="61">
        <v>60</v>
      </c>
      <c r="D113" s="72">
        <f>9.1+9.1</f>
        <v>18.2</v>
      </c>
      <c r="E113" s="6">
        <f>D113/D107*100</f>
        <v>0.012821054707863107</v>
      </c>
      <c r="F113" s="6">
        <f t="shared" si="15"/>
        <v>33.95522388059701</v>
      </c>
      <c r="G113" s="6">
        <f t="shared" si="12"/>
        <v>30.333333333333336</v>
      </c>
      <c r="H113" s="61">
        <f t="shared" si="16"/>
        <v>35.400000000000006</v>
      </c>
      <c r="I113" s="61">
        <f t="shared" si="14"/>
        <v>41.8</v>
      </c>
    </row>
    <row r="114" spans="1:9" ht="37.5">
      <c r="A114" s="16" t="s">
        <v>39</v>
      </c>
      <c r="B114" s="73">
        <v>1553.5</v>
      </c>
      <c r="C114" s="61">
        <v>2915.4</v>
      </c>
      <c r="D114" s="72">
        <f>136.4+40+10+2+0.1+10.6+142+54.3+10.6+6.6+21.9+41.3+8.2+239.5+0.2+6.2+0.7+26.9+145.7+54.9+4+2+1.1+3.5+2.2+195.9+3.8</f>
        <v>1170.6000000000001</v>
      </c>
      <c r="E114" s="6">
        <f>D114/D107*100</f>
        <v>0.8246333319244261</v>
      </c>
      <c r="F114" s="6">
        <f t="shared" si="15"/>
        <v>75.35242999678147</v>
      </c>
      <c r="G114" s="6">
        <f t="shared" si="12"/>
        <v>40.15229471084585</v>
      </c>
      <c r="H114" s="61">
        <f t="shared" si="16"/>
        <v>382.89999999999986</v>
      </c>
      <c r="I114" s="61">
        <f t="shared" si="14"/>
        <v>1744.8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4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232.1</v>
      </c>
      <c r="C118" s="53">
        <v>422.8</v>
      </c>
      <c r="D118" s="72">
        <f>39+5+6.2+39.1+4.9+0.4+0.8+39+0.1+5.5+0.9+39+4.8+1.3+39-0.1+0.8+0.4+5</f>
        <v>231.10000000000008</v>
      </c>
      <c r="E118" s="6">
        <f>D118/D107*100</f>
        <v>0.16279921664764646</v>
      </c>
      <c r="F118" s="6">
        <f t="shared" si="15"/>
        <v>99.56915122791904</v>
      </c>
      <c r="G118" s="6">
        <f t="shared" si="12"/>
        <v>54.65941343424788</v>
      </c>
      <c r="H118" s="61">
        <f t="shared" si="16"/>
        <v>0.9999999999999147</v>
      </c>
      <c r="I118" s="61">
        <f t="shared" si="14"/>
        <v>191.69999999999993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84.46559930765899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v>455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455</v>
      </c>
      <c r="I121" s="61">
        <f t="shared" si="14"/>
        <v>520</v>
      </c>
    </row>
    <row r="122" spans="1:9" s="102" customFormat="1" ht="18" hidden="1">
      <c r="A122" s="23" t="s">
        <v>82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f>20236.6-450</f>
        <v>19786.6</v>
      </c>
      <c r="C124" s="53">
        <f>33585.8+9933.2</f>
        <v>43519</v>
      </c>
      <c r="D124" s="76">
        <f>3483.8+2635.6+1853.3+812.9+1333.3+1694.1+1722.4+661.9+934+1328+225</f>
        <v>16684.3</v>
      </c>
      <c r="E124" s="17">
        <f>D124/D107*100</f>
        <v>11.753314453978046</v>
      </c>
      <c r="F124" s="6">
        <f t="shared" si="15"/>
        <v>84.32120728169569</v>
      </c>
      <c r="G124" s="6">
        <f t="shared" si="12"/>
        <v>38.337967324616834</v>
      </c>
      <c r="H124" s="61">
        <f t="shared" si="16"/>
        <v>3102.2999999999993</v>
      </c>
      <c r="I124" s="61">
        <f t="shared" si="14"/>
        <v>26834.7</v>
      </c>
    </row>
    <row r="125" spans="1:9" s="2" customFormat="1" ht="18.75">
      <c r="A125" s="16" t="s">
        <v>96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0.011271256886033502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9" s="2" customFormat="1" ht="37.5">
      <c r="A126" s="16" t="s">
        <v>106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</row>
    <row r="127" spans="1:9" s="2" customFormat="1" ht="37.5">
      <c r="A127" s="16" t="s">
        <v>87</v>
      </c>
      <c r="B127" s="73">
        <v>45.8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45.8</v>
      </c>
      <c r="I127" s="61">
        <f t="shared" si="14"/>
        <v>81.6</v>
      </c>
    </row>
    <row r="128" spans="1:9" s="2" customFormat="1" ht="37.5">
      <c r="A128" s="16" t="s">
        <v>59</v>
      </c>
      <c r="B128" s="73">
        <v>688.7</v>
      </c>
      <c r="C128" s="53">
        <v>1253.3</v>
      </c>
      <c r="D128" s="76">
        <f>6.5+6.7+0.9+10.2+6.4+2.4+29+2.5+26.7+1.1+7.5+20.9+3.3+0.1+0.1+0.6+54.3+6.4+19+0.1+6.4-0.1+0.9+1+0.1+24</f>
        <v>236.99999999999997</v>
      </c>
      <c r="E128" s="17">
        <f>D128/D107*100</f>
        <v>0.1669554926243712</v>
      </c>
      <c r="F128" s="6">
        <f t="shared" si="15"/>
        <v>34.41266153622767</v>
      </c>
      <c r="G128" s="6">
        <f t="shared" si="12"/>
        <v>18.910077395675415</v>
      </c>
      <c r="H128" s="61">
        <f t="shared" si="16"/>
        <v>451.70000000000005</v>
      </c>
      <c r="I128" s="61">
        <f t="shared" si="14"/>
        <v>1016.3</v>
      </c>
    </row>
    <row r="129" spans="1:9" s="32" customFormat="1" ht="18">
      <c r="A129" s="23" t="s">
        <v>90</v>
      </c>
      <c r="B129" s="74">
        <v>219.2</v>
      </c>
      <c r="C129" s="44">
        <v>459.6</v>
      </c>
      <c r="D129" s="75">
        <f>6.4+6.4+6.4+6.4+6.4</f>
        <v>32</v>
      </c>
      <c r="E129" s="1">
        <f>D129/D128*100</f>
        <v>13.502109704641352</v>
      </c>
      <c r="F129" s="1">
        <f>D129/B129*100</f>
        <v>14.598540145985403</v>
      </c>
      <c r="G129" s="1">
        <f t="shared" si="12"/>
        <v>6.962576153176675</v>
      </c>
      <c r="H129" s="44">
        <f t="shared" si="16"/>
        <v>187.2</v>
      </c>
      <c r="I129" s="44">
        <f t="shared" si="14"/>
        <v>427.6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21.75" customHeight="1">
      <c r="A133" s="16" t="s">
        <v>110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89</v>
      </c>
      <c r="B134" s="73">
        <v>34.1</v>
      </c>
      <c r="C134" s="53">
        <v>108.1</v>
      </c>
      <c r="D134" s="76">
        <f>3.8+10.3+1.3</f>
        <v>15.400000000000002</v>
      </c>
      <c r="E134" s="17">
        <f>D134/D107*100</f>
        <v>0.010848584752807247</v>
      </c>
      <c r="F134" s="6">
        <f t="shared" si="15"/>
        <v>45.16129032258065</v>
      </c>
      <c r="G134" s="6">
        <f t="shared" si="12"/>
        <v>14.246068455134136</v>
      </c>
      <c r="H134" s="61">
        <f t="shared" si="16"/>
        <v>18.7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232</v>
      </c>
      <c r="C135" s="53">
        <v>626.8</v>
      </c>
      <c r="D135" s="76">
        <f>1.2</f>
        <v>1.2</v>
      </c>
      <c r="E135" s="17">
        <f>D135/D107*100</f>
        <v>0.0008453442664525125</v>
      </c>
      <c r="F135" s="6">
        <f t="shared" si="15"/>
        <v>0.5172413793103449</v>
      </c>
      <c r="G135" s="6">
        <f t="shared" si="12"/>
        <v>0.1914486279514997</v>
      </c>
      <c r="H135" s="61">
        <f t="shared" si="16"/>
        <v>230.8</v>
      </c>
      <c r="I135" s="61">
        <f t="shared" si="14"/>
        <v>625.5999999999999</v>
      </c>
    </row>
    <row r="136" spans="1:9" s="32" customFormat="1" ht="18">
      <c r="A136" s="23" t="s">
        <v>90</v>
      </c>
      <c r="B136" s="74">
        <v>135</v>
      </c>
      <c r="C136" s="44">
        <v>400</v>
      </c>
      <c r="D136" s="75">
        <f>1.2</f>
        <v>1.2</v>
      </c>
      <c r="E136" s="1"/>
      <c r="F136" s="6">
        <f>D136/B136*100</f>
        <v>0.8888888888888888</v>
      </c>
      <c r="G136" s="1">
        <f>D136/C136*100</f>
        <v>0.3</v>
      </c>
      <c r="H136" s="44">
        <f>B136-D136</f>
        <v>133.8</v>
      </c>
      <c r="I136" s="44">
        <f>C136-D136</f>
        <v>398.8</v>
      </c>
    </row>
    <row r="137" spans="1:9" s="2" customFormat="1" ht="37.5">
      <c r="A137" s="16" t="s">
        <v>86</v>
      </c>
      <c r="B137" s="73">
        <v>226.7</v>
      </c>
      <c r="C137" s="53">
        <v>381.2</v>
      </c>
      <c r="D137" s="76">
        <f>0.5+1.3+15.9+33.5+3+0.6+15.2+1.3+36.5+1.9+0.3+0.3+0.6+5+2+16.5+0.1+0.5+1.2+18.6-0.1+0.3+0.5</f>
        <v>155.49999999999997</v>
      </c>
      <c r="E137" s="17">
        <f>D137/D107*100</f>
        <v>0.10954252786113806</v>
      </c>
      <c r="F137" s="6">
        <f t="shared" si="15"/>
        <v>68.59285399205997</v>
      </c>
      <c r="G137" s="6">
        <f>D137/C137*100</f>
        <v>40.7922350472193</v>
      </c>
      <c r="H137" s="61">
        <f t="shared" si="16"/>
        <v>71.20000000000002</v>
      </c>
      <c r="I137" s="61">
        <f t="shared" si="14"/>
        <v>225.70000000000002</v>
      </c>
    </row>
    <row r="138" spans="1:9" s="32" customFormat="1" ht="18">
      <c r="A138" s="23" t="s">
        <v>26</v>
      </c>
      <c r="B138" s="74">
        <v>184.9</v>
      </c>
      <c r="C138" s="44">
        <v>306.1</v>
      </c>
      <c r="D138" s="75">
        <f>15.9+33.5+15.2+36.5+0.3+4.6+16.5-0.1+1.2+16+0.3</f>
        <v>139.9</v>
      </c>
      <c r="E138" s="1">
        <f>D138/D137*100</f>
        <v>89.967845659164</v>
      </c>
      <c r="F138" s="1">
        <f t="shared" si="15"/>
        <v>75.6625202812331</v>
      </c>
      <c r="G138" s="1">
        <f>D138/C138*100</f>
        <v>45.70401829467494</v>
      </c>
      <c r="H138" s="44">
        <f t="shared" si="16"/>
        <v>45</v>
      </c>
      <c r="I138" s="44">
        <f t="shared" si="14"/>
        <v>166.20000000000002</v>
      </c>
    </row>
    <row r="139" spans="1:9" s="2" customFormat="1" ht="18.75">
      <c r="A139" s="16" t="s">
        <v>102</v>
      </c>
      <c r="B139" s="73">
        <v>750.1</v>
      </c>
      <c r="C139" s="53">
        <f>1397.4+115.2</f>
        <v>1512.6000000000001</v>
      </c>
      <c r="D139" s="76">
        <f>26+59.9+0.4-0.1+0.1+27.3+5.8+57.7+6.3+46.3+13.6+50.5+6-0.1+43.3+3.1+0.2+52.2+16.7+42.4+4.7+8+55+5.3+39.2</f>
        <v>569.8</v>
      </c>
      <c r="E139" s="17">
        <f>D139/D107*100</f>
        <v>0.401397635853868</v>
      </c>
      <c r="F139" s="6">
        <f t="shared" si="15"/>
        <v>75.96320490601252</v>
      </c>
      <c r="G139" s="6">
        <f t="shared" si="12"/>
        <v>37.670236678566695</v>
      </c>
      <c r="H139" s="61">
        <f t="shared" si="16"/>
        <v>180.30000000000007</v>
      </c>
      <c r="I139" s="61">
        <f t="shared" si="14"/>
        <v>942.8000000000002</v>
      </c>
    </row>
    <row r="140" spans="1:9" s="32" customFormat="1" ht="18">
      <c r="A140" s="33" t="s">
        <v>44</v>
      </c>
      <c r="B140" s="74">
        <v>559.4</v>
      </c>
      <c r="C140" s="44">
        <f>1063.5+115.2</f>
        <v>1178.7</v>
      </c>
      <c r="D140" s="75">
        <f>26+59.9+27.3+57.1-0.1+46.3+42.7-0.1+36.4+51.8+8.5+28+53.1+4.3+35.3</f>
        <v>476.5</v>
      </c>
      <c r="E140" s="1">
        <f>D140/D139*100</f>
        <v>83.62583362583364</v>
      </c>
      <c r="F140" s="1">
        <f aca="true" t="shared" si="17" ref="F140:F148">D140/B140*100</f>
        <v>85.18055058991777</v>
      </c>
      <c r="G140" s="1">
        <f t="shared" si="12"/>
        <v>40.42589293289217</v>
      </c>
      <c r="H140" s="44">
        <f t="shared" si="16"/>
        <v>82.89999999999998</v>
      </c>
      <c r="I140" s="44">
        <f t="shared" si="14"/>
        <v>702.2</v>
      </c>
    </row>
    <row r="141" spans="1:9" s="32" customFormat="1" ht="18">
      <c r="A141" s="23" t="s">
        <v>26</v>
      </c>
      <c r="B141" s="74">
        <v>24.3</v>
      </c>
      <c r="C141" s="44">
        <v>37.5</v>
      </c>
      <c r="D141" s="75">
        <f>0.4+5.6+0.6+6+0.1+3.7+0.1+0.4+1</f>
        <v>17.9</v>
      </c>
      <c r="E141" s="1">
        <f>D141/D139*100</f>
        <v>3.141453141453141</v>
      </c>
      <c r="F141" s="1">
        <f t="shared" si="17"/>
        <v>73.66255144032921</v>
      </c>
      <c r="G141" s="1">
        <f>D141/C141*100</f>
        <v>47.73333333333333</v>
      </c>
      <c r="H141" s="44">
        <f t="shared" si="16"/>
        <v>6.400000000000002</v>
      </c>
      <c r="I141" s="44">
        <f t="shared" si="14"/>
        <v>19.6</v>
      </c>
    </row>
    <row r="142" spans="1:9" s="2" customFormat="1" ht="18.75" customHeight="1">
      <c r="A142" s="18" t="s">
        <v>58</v>
      </c>
      <c r="B142" s="73">
        <f>300+1143.1</f>
        <v>1443.1</v>
      </c>
      <c r="C142" s="53">
        <f>200+300+1250</f>
        <v>1750</v>
      </c>
      <c r="D142" s="76">
        <f>300</f>
        <v>300</v>
      </c>
      <c r="E142" s="17">
        <f>D142/D107*100</f>
        <v>0.21133606661312815</v>
      </c>
      <c r="F142" s="99">
        <f t="shared" si="17"/>
        <v>20.78858013997644</v>
      </c>
      <c r="G142" s="6">
        <f t="shared" si="12"/>
        <v>17.142857142857142</v>
      </c>
      <c r="H142" s="61">
        <f t="shared" si="16"/>
        <v>1143.1</v>
      </c>
      <c r="I142" s="61">
        <f t="shared" si="14"/>
        <v>1450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f>26585.6-1091.4-108.4-6057.3-180</f>
        <v>19148.499999999996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</f>
        <v>16538.100000000002</v>
      </c>
      <c r="E144" s="17">
        <f>D144/D107*100</f>
        <v>11.650323344181917</v>
      </c>
      <c r="F144" s="99">
        <f t="shared" si="17"/>
        <v>86.36760059534693</v>
      </c>
      <c r="G144" s="6">
        <f t="shared" si="12"/>
        <v>25.946594706537603</v>
      </c>
      <c r="H144" s="61">
        <f t="shared" si="16"/>
        <v>2610.399999999994</v>
      </c>
      <c r="I144" s="61">
        <f t="shared" si="14"/>
        <v>47200.899999999994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125.3</v>
      </c>
      <c r="C146" s="53">
        <v>234</v>
      </c>
      <c r="D146" s="76">
        <f>19.2+57.1</f>
        <v>76.3</v>
      </c>
      <c r="E146" s="17">
        <f>D146/D107*100</f>
        <v>0.05374980627527226</v>
      </c>
      <c r="F146" s="99">
        <f t="shared" si="17"/>
        <v>60.893854748603346</v>
      </c>
      <c r="G146" s="6">
        <f t="shared" si="12"/>
        <v>32.60683760683761</v>
      </c>
      <c r="H146" s="61">
        <f t="shared" si="16"/>
        <v>49</v>
      </c>
      <c r="I146" s="61">
        <f t="shared" si="14"/>
        <v>157.7</v>
      </c>
    </row>
    <row r="147" spans="1:12" s="2" customFormat="1" ht="18.75" customHeight="1">
      <c r="A147" s="16" t="s">
        <v>79</v>
      </c>
      <c r="B147" s="73">
        <v>6025</v>
      </c>
      <c r="C147" s="53">
        <v>10550.8</v>
      </c>
      <c r="D147" s="76">
        <f>1601.8+39.7+92.5+565.2+121.3+853.6+638.8+424+800.9+24.5+1.5</f>
        <v>5163.799999999999</v>
      </c>
      <c r="E147" s="17">
        <f>D147/D107*100</f>
        <v>3.6376572692562363</v>
      </c>
      <c r="F147" s="99">
        <f t="shared" si="17"/>
        <v>85.70622406639002</v>
      </c>
      <c r="G147" s="6">
        <f t="shared" si="12"/>
        <v>48.9422603025363</v>
      </c>
      <c r="H147" s="61">
        <f t="shared" si="16"/>
        <v>861.2000000000007</v>
      </c>
      <c r="I147" s="61">
        <f t="shared" si="14"/>
        <v>5387</v>
      </c>
      <c r="K147" s="38"/>
      <c r="L147" s="38"/>
    </row>
    <row r="148" spans="1:12" s="2" customFormat="1" ht="19.5" customHeight="1">
      <c r="A148" s="16" t="s">
        <v>51</v>
      </c>
      <c r="B148" s="73">
        <f>84066.9+1091.4+108.4+6057.3+2330.7</f>
        <v>93654.69999999998</v>
      </c>
      <c r="C148" s="53">
        <f>376354.8-1000+14285.9-198-200-300-15786.4-2950</f>
        <v>370206.3</v>
      </c>
      <c r="D148" s="76">
        <f>69938.3+2324.7+1312.6+155+2603.6+1211+415+5415.4+691.3+550.4+1878.3</f>
        <v>86495.6</v>
      </c>
      <c r="E148" s="17">
        <f>D148/D107*100</f>
        <v>60.93213294447496</v>
      </c>
      <c r="F148" s="6">
        <f t="shared" si="17"/>
        <v>92.35585613962782</v>
      </c>
      <c r="G148" s="6">
        <f t="shared" si="12"/>
        <v>23.364162090164324</v>
      </c>
      <c r="H148" s="61">
        <f t="shared" si="16"/>
        <v>7159.099999999977</v>
      </c>
      <c r="I148" s="61">
        <f t="shared" si="14"/>
        <v>283710.69999999995</v>
      </c>
      <c r="K148" s="91"/>
      <c r="L148" s="38"/>
    </row>
    <row r="149" spans="1:12" s="2" customFormat="1" ht="18.75">
      <c r="A149" s="16" t="s">
        <v>105</v>
      </c>
      <c r="B149" s="73">
        <v>14742.6</v>
      </c>
      <c r="C149" s="53">
        <v>29485.2</v>
      </c>
      <c r="D149" s="76">
        <f>819+819+819.1+819+819+819.1+819+819+819.1+819+819+819.1+819.1+819+819+819</f>
        <v>13104.5</v>
      </c>
      <c r="E149" s="17">
        <f>D149/D107*100</f>
        <v>9.231511616439127</v>
      </c>
      <c r="F149" s="6">
        <f t="shared" si="15"/>
        <v>88.88866278675404</v>
      </c>
      <c r="G149" s="6">
        <f t="shared" si="12"/>
        <v>44.44433139337702</v>
      </c>
      <c r="H149" s="61">
        <f t="shared" si="16"/>
        <v>1638.1000000000004</v>
      </c>
      <c r="I149" s="61">
        <f t="shared" si="14"/>
        <v>16380.7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174595.4</v>
      </c>
      <c r="C150" s="77">
        <f>C43+C69+C72+C77+C79+C87+C102+C107+C100+C84+C98</f>
        <v>551673.8999999999</v>
      </c>
      <c r="D150" s="53">
        <f>D43+D69+D72+D77+D79+D87+D102+D107+D100+D84+D98</f>
        <v>147061.60000000003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927751.5000000001</v>
      </c>
      <c r="C151" s="47">
        <f>C6+C18+C33+C43+C51+C59+C69+C72+C77+C79+C87+C90+C95+C102+C107+C100+C84+C98+C45</f>
        <v>1879696.9</v>
      </c>
      <c r="D151" s="47">
        <f>D6+D18+D33+D43+D51+D59+D69+D72+D77+D79+D87+D90+D95+D102+D107+D100+D84+D98+D45</f>
        <v>746789.4000000001</v>
      </c>
      <c r="E151" s="31">
        <v>100</v>
      </c>
      <c r="F151" s="3">
        <f>D151/B151*100</f>
        <v>80.49455053427562</v>
      </c>
      <c r="G151" s="3">
        <f aca="true" t="shared" si="18" ref="G151:G157">D151/C151*100</f>
        <v>39.72924570977375</v>
      </c>
      <c r="H151" s="47">
        <f aca="true" t="shared" si="19" ref="H151:H157">B151-D151</f>
        <v>180962.09999999998</v>
      </c>
      <c r="I151" s="47">
        <f aca="true" t="shared" si="20" ref="I151:I157">C151-D151</f>
        <v>1132907.4999999998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415794.8</v>
      </c>
      <c r="C152" s="60">
        <f>C8+C20+C34+C52+C60+C91+C115+C119+C46+C140+C131+C103</f>
        <v>723487.5</v>
      </c>
      <c r="D152" s="60">
        <f>D8+D20+D34+D52+D60+D91+D115+D119+D46+D140+D131+D103</f>
        <v>323041.80000000005</v>
      </c>
      <c r="E152" s="6">
        <f>D152/D151*100</f>
        <v>43.2574163479021</v>
      </c>
      <c r="F152" s="6">
        <f aca="true" t="shared" si="21" ref="F152:F157">D152/B152*100</f>
        <v>77.69260221628555</v>
      </c>
      <c r="G152" s="6">
        <f t="shared" si="18"/>
        <v>44.65064012854404</v>
      </c>
      <c r="H152" s="61">
        <f t="shared" si="19"/>
        <v>92752.99999999994</v>
      </c>
      <c r="I152" s="72">
        <f t="shared" si="20"/>
        <v>400445.69999999995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61880.50000000001</v>
      </c>
      <c r="C153" s="61">
        <f>C11+C23+C36+C55+C62+C92+C49+C141+C109+C112+C96+C138</f>
        <v>102311.30000000002</v>
      </c>
      <c r="D153" s="61">
        <f>D11+D23+D36+D55+D62+D92+D49+D141+D109+D112+D96+D138</f>
        <v>52514.00000000001</v>
      </c>
      <c r="E153" s="6">
        <f>D153/D151*100</f>
        <v>7.031969120075887</v>
      </c>
      <c r="F153" s="6">
        <f t="shared" si="21"/>
        <v>84.86356768287263</v>
      </c>
      <c r="G153" s="6">
        <f t="shared" si="18"/>
        <v>51.3276637087008</v>
      </c>
      <c r="H153" s="61">
        <f t="shared" si="19"/>
        <v>9366.5</v>
      </c>
      <c r="I153" s="72">
        <f t="shared" si="20"/>
        <v>49797.30000000001</v>
      </c>
      <c r="K153" s="39"/>
      <c r="L153" s="90"/>
    </row>
    <row r="154" spans="1:12" ht="18.75">
      <c r="A154" s="18" t="s">
        <v>1</v>
      </c>
      <c r="B154" s="60">
        <f>B22+B10+B54+B48+B61+B35+B123</f>
        <v>18645.7</v>
      </c>
      <c r="C154" s="60">
        <f>C22+C10+C54+C48+C61+C35+C123</f>
        <v>28689.7</v>
      </c>
      <c r="D154" s="60">
        <f>D22+D10+D54+D48+D61+D35+D123</f>
        <v>17546</v>
      </c>
      <c r="E154" s="6">
        <f>D154/D151*100</f>
        <v>2.3495245111941863</v>
      </c>
      <c r="F154" s="6">
        <f t="shared" si="21"/>
        <v>94.10212542301977</v>
      </c>
      <c r="G154" s="6">
        <f t="shared" si="18"/>
        <v>61.157837133187165</v>
      </c>
      <c r="H154" s="61">
        <f t="shared" si="19"/>
        <v>1099.7000000000007</v>
      </c>
      <c r="I154" s="72">
        <f t="shared" si="20"/>
        <v>11143.7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14990.2</v>
      </c>
      <c r="C155" s="60">
        <f>C12+C24+C104+C63+C38+C93+C129+C56+C136</f>
        <v>29507.2</v>
      </c>
      <c r="D155" s="60">
        <f>D12+D24+D104+D63+D38+D93+D129+D56+D136</f>
        <v>8842.9</v>
      </c>
      <c r="E155" s="6">
        <f>D155/D151*100</f>
        <v>1.1841223241786771</v>
      </c>
      <c r="F155" s="6">
        <f t="shared" si="21"/>
        <v>58.99120758895812</v>
      </c>
      <c r="G155" s="6">
        <f t="shared" si="18"/>
        <v>29.968617828868883</v>
      </c>
      <c r="H155" s="61">
        <f>B155-D155</f>
        <v>6147.300000000001</v>
      </c>
      <c r="I155" s="72">
        <f t="shared" si="20"/>
        <v>20664.300000000003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106.9</v>
      </c>
      <c r="D156" s="60">
        <f>D9+D21+D47+D53+D122</f>
        <v>23.5</v>
      </c>
      <c r="E156" s="6">
        <f>D156/D151*100</f>
        <v>0.003146804172635551</v>
      </c>
      <c r="F156" s="6">
        <f t="shared" si="21"/>
        <v>47.764227642276424</v>
      </c>
      <c r="G156" s="6">
        <f t="shared" si="18"/>
        <v>21.98316183348924</v>
      </c>
      <c r="H156" s="61">
        <f t="shared" si="19"/>
        <v>25.699999999999996</v>
      </c>
      <c r="I156" s="72">
        <f t="shared" si="20"/>
        <v>83.4</v>
      </c>
      <c r="K156" s="39"/>
      <c r="L156" s="40"/>
    </row>
    <row r="157" spans="1:12" ht="19.5" thickBot="1">
      <c r="A157" s="125" t="s">
        <v>28</v>
      </c>
      <c r="B157" s="78">
        <f>B151-B152-B153-B154-B155-B156</f>
        <v>416391.1000000001</v>
      </c>
      <c r="C157" s="78">
        <f>C151-C152-C153-C154-C155-C156</f>
        <v>995594.2999999999</v>
      </c>
      <c r="D157" s="78">
        <f>D151-D152-D153-D154-D155-D156</f>
        <v>344821.20000000007</v>
      </c>
      <c r="E157" s="36">
        <f>D157/D151*100</f>
        <v>46.17382089247651</v>
      </c>
      <c r="F157" s="36">
        <f t="shared" si="21"/>
        <v>82.81185644938137</v>
      </c>
      <c r="G157" s="36">
        <f t="shared" si="18"/>
        <v>34.63471014247471</v>
      </c>
      <c r="H157" s="126">
        <f t="shared" si="19"/>
        <v>71569.90000000002</v>
      </c>
      <c r="I157" s="126">
        <f t="shared" si="20"/>
        <v>650773.0999999999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746789.4000000001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1879696.9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746789.4000000001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2017-06-09T10:53:14Z</cp:lastPrinted>
  <dcterms:created xsi:type="dcterms:W3CDTF">2000-06-20T04:48:00Z</dcterms:created>
  <dcterms:modified xsi:type="dcterms:W3CDTF">2017-06-15T05:03:29Z</dcterms:modified>
  <cp:category/>
  <cp:version/>
  <cp:contentType/>
  <cp:contentStatus/>
</cp:coreProperties>
</file>